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7400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11" i="1" l="1"/>
  <c r="N11" i="1"/>
  <c r="M11" i="1"/>
  <c r="L11" i="1"/>
  <c r="K11" i="1"/>
  <c r="J11" i="1"/>
  <c r="H11" i="1"/>
  <c r="G11" i="1"/>
  <c r="F11" i="1"/>
  <c r="E11" i="1"/>
  <c r="D11" i="1"/>
  <c r="Z11" i="1"/>
  <c r="Y11" i="1"/>
  <c r="X11" i="1"/>
  <c r="W11" i="1"/>
  <c r="U11" i="1"/>
  <c r="T11" i="1"/>
  <c r="S11" i="1"/>
  <c r="R11" i="1"/>
  <c r="K4" i="3"/>
  <c r="K5" i="3"/>
  <c r="K6" i="3"/>
  <c r="K7" i="3"/>
  <c r="K8" i="3"/>
  <c r="K14" i="3"/>
  <c r="K15" i="3"/>
  <c r="K16" i="3"/>
  <c r="J23" i="3"/>
  <c r="J22" i="3"/>
  <c r="J21" i="3"/>
  <c r="J20" i="3"/>
  <c r="J19" i="3"/>
  <c r="J18" i="3"/>
  <c r="J17" i="3"/>
  <c r="J13" i="3"/>
  <c r="J12" i="3"/>
  <c r="J11" i="3"/>
  <c r="J10" i="3"/>
  <c r="J9" i="3"/>
  <c r="J3" i="3"/>
  <c r="J2" i="3"/>
  <c r="J24" i="3" s="1"/>
  <c r="I23" i="3"/>
  <c r="I22" i="3"/>
  <c r="I21" i="3"/>
  <c r="I20" i="3"/>
  <c r="I19" i="3"/>
  <c r="I18" i="3"/>
  <c r="I17" i="3"/>
  <c r="I13" i="3"/>
  <c r="I12" i="3"/>
  <c r="I11" i="3"/>
  <c r="I10" i="3"/>
  <c r="I9" i="3"/>
  <c r="I3" i="3"/>
  <c r="I2" i="3"/>
  <c r="I24" i="3" s="1"/>
  <c r="H23" i="3"/>
  <c r="H22" i="3"/>
  <c r="H21" i="3"/>
  <c r="H20" i="3"/>
  <c r="H19" i="3"/>
  <c r="H18" i="3"/>
  <c r="H17" i="3"/>
  <c r="H13" i="3"/>
  <c r="H12" i="3"/>
  <c r="H11" i="3"/>
  <c r="H10" i="3"/>
  <c r="H9" i="3"/>
  <c r="H3" i="3"/>
  <c r="H2" i="3"/>
  <c r="H24" i="3" s="1"/>
  <c r="G23" i="3"/>
  <c r="G22" i="3"/>
  <c r="G21" i="3"/>
  <c r="G20" i="3"/>
  <c r="G19" i="3"/>
  <c r="G18" i="3"/>
  <c r="G17" i="3"/>
  <c r="G13" i="3"/>
  <c r="G12" i="3"/>
  <c r="G11" i="3"/>
  <c r="G10" i="3"/>
  <c r="G9" i="3"/>
  <c r="G3" i="3"/>
  <c r="G2" i="3"/>
  <c r="G24" i="3" s="1"/>
  <c r="F23" i="3"/>
  <c r="F22" i="3"/>
  <c r="F21" i="3"/>
  <c r="F20" i="3"/>
  <c r="F19" i="3"/>
  <c r="F18" i="3"/>
  <c r="F17" i="3"/>
  <c r="F13" i="3"/>
  <c r="F12" i="3"/>
  <c r="F11" i="3"/>
  <c r="F10" i="3"/>
  <c r="F9" i="3"/>
  <c r="F3" i="3"/>
  <c r="F2" i="3"/>
  <c r="F24" i="3" s="1"/>
  <c r="E23" i="3"/>
  <c r="E22" i="3"/>
  <c r="E21" i="3"/>
  <c r="E20" i="3"/>
  <c r="E19" i="3"/>
  <c r="E18" i="3"/>
  <c r="E17" i="3"/>
  <c r="E13" i="3"/>
  <c r="E12" i="3"/>
  <c r="E11" i="3"/>
  <c r="E10" i="3"/>
  <c r="E9" i="3"/>
  <c r="E3" i="3"/>
  <c r="E2" i="3"/>
  <c r="E24" i="3" s="1"/>
  <c r="D23" i="3"/>
  <c r="D22" i="3"/>
  <c r="D21" i="3"/>
  <c r="D20" i="3"/>
  <c r="D19" i="3"/>
  <c r="D18" i="3"/>
  <c r="D17" i="3"/>
  <c r="D13" i="3"/>
  <c r="D12" i="3"/>
  <c r="D11" i="3"/>
  <c r="D10" i="3"/>
  <c r="D9" i="3"/>
  <c r="D3" i="3"/>
  <c r="D2" i="3"/>
  <c r="D24" i="3" s="1"/>
  <c r="C23" i="3"/>
  <c r="C22" i="3"/>
  <c r="C21" i="3"/>
  <c r="C20" i="3"/>
  <c r="C19" i="3"/>
  <c r="C18" i="3"/>
  <c r="C17" i="3"/>
  <c r="C13" i="3"/>
  <c r="C12" i="3"/>
  <c r="C11" i="3"/>
  <c r="C10" i="3"/>
  <c r="C9" i="3"/>
  <c r="C3" i="3"/>
  <c r="C2" i="3"/>
  <c r="C24" i="3" s="1"/>
  <c r="B23" i="3"/>
  <c r="K23" i="3" s="1"/>
  <c r="B22" i="3"/>
  <c r="K22" i="3" s="1"/>
  <c r="B21" i="3"/>
  <c r="K21" i="3" s="1"/>
  <c r="B20" i="3"/>
  <c r="K20" i="3" s="1"/>
  <c r="B19" i="3"/>
  <c r="K19" i="3" s="1"/>
  <c r="B18" i="3"/>
  <c r="K18" i="3" s="1"/>
  <c r="B17" i="3"/>
  <c r="K17" i="3" s="1"/>
  <c r="B13" i="3"/>
  <c r="K13" i="3" s="1"/>
  <c r="B12" i="3"/>
  <c r="K12" i="3" s="1"/>
  <c r="B11" i="3"/>
  <c r="K11" i="3" s="1"/>
  <c r="B10" i="3"/>
  <c r="K10" i="3" s="1"/>
  <c r="B9" i="3"/>
  <c r="K9" i="3" s="1"/>
  <c r="B3" i="3"/>
  <c r="K3" i="3" s="1"/>
  <c r="B2" i="3"/>
  <c r="B24" i="3" s="1"/>
  <c r="K2" i="3" l="1"/>
  <c r="K3" i="2"/>
  <c r="K4" i="2"/>
  <c r="K7" i="2"/>
  <c r="K8" i="2"/>
  <c r="K9" i="2"/>
  <c r="K10" i="2"/>
  <c r="K11" i="2"/>
  <c r="K14" i="2"/>
  <c r="K15" i="2"/>
  <c r="K16" i="2"/>
  <c r="K17" i="2"/>
  <c r="K2" i="2"/>
  <c r="J6" i="2"/>
  <c r="J5" i="2"/>
  <c r="J18" i="2" s="1"/>
  <c r="I6" i="2"/>
  <c r="I5" i="2"/>
  <c r="I18" i="2" s="1"/>
  <c r="H6" i="2"/>
  <c r="H5" i="2"/>
  <c r="H18" i="2" s="1"/>
  <c r="G6" i="2"/>
  <c r="G5" i="2"/>
  <c r="G18" i="2" s="1"/>
  <c r="F6" i="2"/>
  <c r="F5" i="2"/>
  <c r="F18" i="2" s="1"/>
  <c r="E13" i="2"/>
  <c r="E12" i="2"/>
  <c r="E6" i="2"/>
  <c r="E5" i="2"/>
  <c r="E18" i="2" s="1"/>
  <c r="D13" i="2"/>
  <c r="D12" i="2"/>
  <c r="D6" i="2"/>
  <c r="D5" i="2"/>
  <c r="D18" i="2" s="1"/>
  <c r="C6" i="2"/>
  <c r="C13" i="2"/>
  <c r="C12" i="2"/>
  <c r="C5" i="2"/>
  <c r="C18" i="2" s="1"/>
  <c r="B12" i="2"/>
  <c r="K12" i="2" s="1"/>
  <c r="B13" i="2"/>
  <c r="K13" i="2" s="1"/>
  <c r="B6" i="2"/>
  <c r="K6" i="2" s="1"/>
  <c r="B5" i="2"/>
  <c r="K5" i="2" s="1"/>
  <c r="K18" i="2" l="1"/>
  <c r="B18" i="2"/>
</calcChain>
</file>

<file path=xl/sharedStrings.xml><?xml version="1.0" encoding="utf-8"?>
<sst xmlns="http://schemas.openxmlformats.org/spreadsheetml/2006/main" count="114" uniqueCount="97">
  <si>
    <t>организация</t>
  </si>
  <si>
    <t>Московский проспект дом №44</t>
  </si>
  <si>
    <t>пр. Розанова дом №3</t>
  </si>
  <si>
    <t>мкр. Серебрянка дом 49</t>
  </si>
  <si>
    <t>мкр. Серебрянка дом 48 к.1</t>
  </si>
  <si>
    <t>мкр. Серебрянка дом 48 к.2</t>
  </si>
  <si>
    <t>мкр. Мамонтовка ул. Гоголевская дом 2</t>
  </si>
  <si>
    <t>мкр. Мамонтовка ул. Гоголевская дом 4</t>
  </si>
  <si>
    <t>мкр. Мамонтовка ул. Гоголевская дом 8</t>
  </si>
  <si>
    <t>мкр. Мамонтовка ул. Гоголевская дом 10</t>
  </si>
  <si>
    <t>мкр. Мамонтовка ул. Гоголевская дом 12</t>
  </si>
  <si>
    <t>мкр. Заветы Ильича ул. Степана Разина дом 3</t>
  </si>
  <si>
    <t>с. Тарасовка ул. Центральная дом 7</t>
  </si>
  <si>
    <t>с. Тарасовка ул. Центральная дом 10</t>
  </si>
  <si>
    <t>с. Ельдигино ул. Парковая дом 1</t>
  </si>
  <si>
    <t>г.п. Правдинский ул. Садовая дом 17</t>
  </si>
  <si>
    <t xml:space="preserve">г.п. Правдинский ул. Садовая дом 19 </t>
  </si>
  <si>
    <t>г.п. Правдинский ул. Садовая дом 21</t>
  </si>
  <si>
    <t>г.п. Правдинский ул. Советская дом 4</t>
  </si>
  <si>
    <t>г.п Правдинский Институтский пр. дом 2</t>
  </si>
  <si>
    <t>г.п. Правдинский ул. Герцена дом 1</t>
  </si>
  <si>
    <t>г.п. Правдинкий ул. Герцена дом 30 к.1</t>
  </si>
  <si>
    <t>г.п. Правдинский ул. Герцена дом 30 к.2</t>
  </si>
  <si>
    <t>г.п. Правдинский ул. 1-я Проектная дом 88</t>
  </si>
  <si>
    <t>данные о количестве закупленных ресурсов по объектам управления  у ресорсоснабжающих организаций в период с 01.01.2014 г.  по 30.09.2014 г.</t>
  </si>
  <si>
    <t>ОАО "ПУШКИНСКАЯ ТЕПЛОСЕТЬ"</t>
  </si>
  <si>
    <t>Договор, вид ресурса</t>
  </si>
  <si>
    <t>№48, на поставку тепловой энергии для нужд отопления и ГВС</t>
  </si>
  <si>
    <t>ОАО "ЭНЕРГИЯ"</t>
  </si>
  <si>
    <t>ОАО "ПОЗИТ"</t>
  </si>
  <si>
    <t>ООО "ЭС-СЖ"</t>
  </si>
  <si>
    <t>ОАО "ПУШКИНО ЭНЕРГОСБЫТ"</t>
  </si>
  <si>
    <t>№ на поставку электроэнергии на общедомовые нужды и квартиры</t>
  </si>
  <si>
    <t>МУП "ПУШКИНСКИЙ ВОДОКАНАЛ"</t>
  </si>
  <si>
    <t>ОАО "ЭКОАЭРОСТАЛКЕР"</t>
  </si>
  <si>
    <t>№ на очистку сточных вод</t>
  </si>
  <si>
    <t>№48, 311, 299, 441, на поставку тепловой энергии для нужд отопления и ГВС</t>
  </si>
  <si>
    <t>ОАО "Королевская Электросеть"</t>
  </si>
  <si>
    <t xml:space="preserve">№ на поставку электроэнергии на общедомовые нужды </t>
  </si>
  <si>
    <t>кВт.</t>
  </si>
  <si>
    <t>м3</t>
  </si>
  <si>
    <t>№222 на поставку питьевой воды ,прием и очистку  сточных вод</t>
  </si>
  <si>
    <t>гКал.</t>
  </si>
  <si>
    <t xml:space="preserve">гКал;         м3 ( в т.ч для ГВС);                  кВт. </t>
  </si>
  <si>
    <t>ООО "СТОРОСС-ТЕПЛО"</t>
  </si>
  <si>
    <t>Теплосеть</t>
  </si>
  <si>
    <t>розанова 3</t>
  </si>
  <si>
    <t>институтский 2</t>
  </si>
  <si>
    <t>серебрянка 49</t>
  </si>
  <si>
    <t>серебрянка 48-1</t>
  </si>
  <si>
    <t>московский 44</t>
  </si>
  <si>
    <t>садовая 17</t>
  </si>
  <si>
    <t>садовая 19</t>
  </si>
  <si>
    <t>садовая 21</t>
  </si>
  <si>
    <t>гоголевская 10</t>
  </si>
  <si>
    <t>гоголевская 12</t>
  </si>
  <si>
    <t>гоголевская 4</t>
  </si>
  <si>
    <t>центральная 7</t>
  </si>
  <si>
    <t>центральная 10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</si>
  <si>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</si>
  <si>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</si>
  <si>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</si>
  <si>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</si>
  <si>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</si>
  <si>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</si>
  <si>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</si>
  <si>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</si>
  <si>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</si>
  <si>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гоголевская 2</t>
  </si>
  <si>
    <t>советская 4</t>
  </si>
  <si>
    <t>гоголевская 8</t>
  </si>
  <si>
    <t>всего</t>
  </si>
  <si>
    <t>водоканал</t>
  </si>
  <si>
    <t>Московский</t>
  </si>
  <si>
    <t>Розанова</t>
  </si>
  <si>
    <t>Серебрянка 49</t>
  </si>
  <si>
    <t>Серебрянка 48-1</t>
  </si>
  <si>
    <t>Серебрянка 48-2</t>
  </si>
  <si>
    <t>1- я Проектная</t>
  </si>
  <si>
    <t>Герцена 1</t>
  </si>
  <si>
    <t>Герцена 30 -1</t>
  </si>
  <si>
    <t>Герцена 30-2</t>
  </si>
  <si>
    <t>Институтский пр-д</t>
  </si>
  <si>
    <t>Садовая 17</t>
  </si>
  <si>
    <t>Садовая 19</t>
  </si>
  <si>
    <t>Садовая 21</t>
  </si>
  <si>
    <t>Советская 4</t>
  </si>
  <si>
    <t>Ст. Разина 3</t>
  </si>
  <si>
    <t>Гоголевская 2</t>
  </si>
  <si>
    <t>Гоголевская 4</t>
  </si>
  <si>
    <t>Гоголевская 8</t>
  </si>
  <si>
    <t>Гоголевская 10</t>
  </si>
  <si>
    <t>Гоголевская 12</t>
  </si>
  <si>
    <t>Центральная 7</t>
  </si>
  <si>
    <t>Центральная 10</t>
  </si>
  <si>
    <t xml:space="preserve">  поставка тепловой энергии для нужд отопления и ГВС</t>
  </si>
  <si>
    <t>поставка тепловой энергии для нужд отопления и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</si>
</sst>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vertical="center" wrapText="1" readingOrder="1"/>
    </xf>
    <xf numFmtId="0" fontId="0" fillId="2" borderId="1" xfId="0" applyFill="1" applyBorder="1" applyAlignment="1">
      <alignment vertical="center" textRotation="90" wrapText="1" readingOrder="1"/>
    </xf>
    <xf numFmtId="0" fontId="0" fillId="0" borderId="0" xfId="0" applyAlignment="1">
      <alignment vertical="center" textRotation="90" wrapText="1" readingOrder="1"/>
    </xf>
    <xf numFmtId="0" fontId="0" fillId="4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 readingOrder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workbookViewId="0">
      <pane xSplit="3" ySplit="2" topLeftCell="N5" activePane="bottomRight" state="frozen"/>
      <selection pane="topRight" activeCell="D1" sqref="D1"/>
      <selection pane="bottomLeft" activeCell="A3" sqref="A3"/>
      <selection pane="bottomRight" activeCell="AA8" sqref="AA8:AA9"/>
    </sheetView>
  </sheetViews>
  <sheetFormatPr defaultRowHeight="15" x14ac:dyDescent="0.25"/>
  <cols>
    <col min="1" max="1" width="15.42578125" style="6" customWidth="1"/>
    <col min="2" max="2" width="26.5703125" style="10" customWidth="1"/>
    <col min="3" max="3" width="6.85546875" style="15" customWidth="1"/>
    <col min="4" max="8" width="9.140625" style="1"/>
    <col min="9" max="9" width="9.5703125" style="1" bestFit="1" customWidth="1"/>
    <col min="10" max="16384" width="9.140625" style="1"/>
  </cols>
  <sheetData>
    <row r="1" spans="1:26" x14ac:dyDescent="0.25">
      <c r="D1" s="20" t="s">
        <v>24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s="4" customFormat="1" ht="117.75" customHeight="1" x14ac:dyDescent="0.25">
      <c r="A2" s="2" t="s">
        <v>0</v>
      </c>
      <c r="B2" s="11" t="s">
        <v>26</v>
      </c>
      <c r="C2" s="16" t="s">
        <v>43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</row>
    <row r="3" spans="1:26" ht="53.25" customHeight="1" x14ac:dyDescent="0.25">
      <c r="A3" s="7" t="s">
        <v>25</v>
      </c>
      <c r="B3" s="12" t="s">
        <v>36</v>
      </c>
      <c r="C3" s="17" t="s">
        <v>42</v>
      </c>
      <c r="D3" s="17">
        <v>3114.7849999999999</v>
      </c>
      <c r="E3" s="17">
        <v>1058.21</v>
      </c>
      <c r="F3" s="17">
        <v>1151.27</v>
      </c>
      <c r="G3" s="17">
        <v>1905.855</v>
      </c>
      <c r="H3" s="17"/>
      <c r="I3" s="17">
        <v>752.197</v>
      </c>
      <c r="J3" s="17">
        <v>903.64400000000001</v>
      </c>
      <c r="K3" s="17">
        <v>970.83</v>
      </c>
      <c r="L3" s="17">
        <v>933.76</v>
      </c>
      <c r="M3" s="17">
        <v>905.56</v>
      </c>
      <c r="N3" s="17"/>
      <c r="O3" s="17">
        <v>526.11099999999999</v>
      </c>
      <c r="P3" s="17">
        <v>562.03200000000004</v>
      </c>
      <c r="Q3" s="17"/>
      <c r="R3" s="7">
        <v>1559.808</v>
      </c>
      <c r="S3" s="7">
        <v>2132.16</v>
      </c>
      <c r="T3" s="7">
        <v>725.46</v>
      </c>
      <c r="U3" s="7">
        <v>962.71199999999999</v>
      </c>
      <c r="V3" s="7">
        <v>1226.204</v>
      </c>
      <c r="W3" s="7"/>
      <c r="X3" s="7"/>
      <c r="Y3" s="7"/>
      <c r="Z3" s="7"/>
    </row>
    <row r="4" spans="1:26" ht="45" x14ac:dyDescent="0.25">
      <c r="A4" s="8" t="s">
        <v>28</v>
      </c>
      <c r="B4" s="13" t="s">
        <v>27</v>
      </c>
      <c r="C4" s="17" t="s">
        <v>42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8"/>
      <c r="S4" s="8"/>
      <c r="T4" s="8"/>
      <c r="U4" s="8"/>
      <c r="V4" s="8"/>
      <c r="W4" s="8">
        <v>5653.29</v>
      </c>
      <c r="X4" s="8"/>
      <c r="Y4" s="8"/>
      <c r="Z4" s="8"/>
    </row>
    <row r="5" spans="1:26" ht="45" x14ac:dyDescent="0.25">
      <c r="A5" s="7" t="s">
        <v>29</v>
      </c>
      <c r="B5" s="12" t="s">
        <v>27</v>
      </c>
      <c r="C5" s="17" t="s">
        <v>42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7"/>
      <c r="S5" s="7"/>
      <c r="T5" s="7"/>
      <c r="U5" s="7"/>
      <c r="V5" s="7"/>
      <c r="W5" s="7"/>
      <c r="X5" s="7"/>
      <c r="Y5" s="7"/>
      <c r="Z5" s="7">
        <v>300</v>
      </c>
    </row>
    <row r="6" spans="1:26" ht="30" x14ac:dyDescent="0.25">
      <c r="A6" s="7" t="s">
        <v>44</v>
      </c>
      <c r="B6" s="12" t="s">
        <v>96</v>
      </c>
      <c r="C6" s="17" t="s">
        <v>42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7"/>
      <c r="S6" s="7"/>
      <c r="T6" s="7"/>
      <c r="U6" s="7"/>
      <c r="V6" s="7"/>
      <c r="W6" s="7"/>
      <c r="X6" s="7"/>
      <c r="Y6" s="7"/>
      <c r="Z6" s="7"/>
    </row>
    <row r="7" spans="1:26" ht="45" x14ac:dyDescent="0.25">
      <c r="A7" s="8" t="s">
        <v>30</v>
      </c>
      <c r="B7" s="13" t="s">
        <v>95</v>
      </c>
      <c r="C7" s="17" t="s">
        <v>42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8"/>
      <c r="S7" s="8"/>
      <c r="T7" s="8"/>
      <c r="U7" s="8"/>
      <c r="V7" s="8"/>
      <c r="W7" s="8"/>
      <c r="X7" s="8"/>
      <c r="Y7" s="8"/>
      <c r="Z7" s="8">
        <v>1219.8989999999999</v>
      </c>
    </row>
    <row r="8" spans="1:26" s="5" customFormat="1" ht="48.75" customHeight="1" x14ac:dyDescent="0.25">
      <c r="A8" s="9" t="s">
        <v>37</v>
      </c>
      <c r="B8" s="14" t="s">
        <v>38</v>
      </c>
      <c r="C8" s="19" t="s">
        <v>39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>
        <v>12425</v>
      </c>
      <c r="P8" s="19">
        <v>8357</v>
      </c>
      <c r="Q8" s="19"/>
      <c r="R8" s="9"/>
      <c r="S8" s="9"/>
      <c r="T8" s="9"/>
      <c r="U8" s="9"/>
      <c r="V8" s="9"/>
      <c r="W8" s="9"/>
      <c r="X8" s="9"/>
      <c r="Y8" s="9"/>
      <c r="Z8" s="9"/>
    </row>
    <row r="9" spans="1:26" ht="60" x14ac:dyDescent="0.25">
      <c r="A9" s="7" t="s">
        <v>31</v>
      </c>
      <c r="B9" s="12" t="s">
        <v>32</v>
      </c>
      <c r="C9" s="17" t="s">
        <v>39</v>
      </c>
      <c r="D9" s="17">
        <v>221280</v>
      </c>
      <c r="E9" s="17">
        <v>62279</v>
      </c>
      <c r="F9" s="17">
        <v>397311</v>
      </c>
      <c r="G9" s="17">
        <v>550368</v>
      </c>
      <c r="H9" s="17">
        <v>846150</v>
      </c>
      <c r="I9" s="17">
        <v>123708</v>
      </c>
      <c r="J9" s="17">
        <v>123708</v>
      </c>
      <c r="K9" s="17">
        <v>123708</v>
      </c>
      <c r="L9" s="17">
        <v>123708</v>
      </c>
      <c r="M9" s="17">
        <v>123708</v>
      </c>
      <c r="N9" s="17">
        <v>180150</v>
      </c>
      <c r="O9" s="17"/>
      <c r="P9" s="17"/>
      <c r="Q9" s="17">
        <v>38329</v>
      </c>
      <c r="R9" s="7">
        <v>7922</v>
      </c>
      <c r="S9" s="7">
        <v>7922</v>
      </c>
      <c r="T9" s="7">
        <v>7922</v>
      </c>
      <c r="U9" s="7">
        <v>7922</v>
      </c>
      <c r="V9" s="7">
        <v>7922</v>
      </c>
      <c r="W9" s="7">
        <v>209355</v>
      </c>
      <c r="X9" s="7">
        <v>618938</v>
      </c>
      <c r="Y9" s="7"/>
      <c r="Z9" s="7">
        <v>832238</v>
      </c>
    </row>
    <row r="10" spans="1:26" ht="45" x14ac:dyDescent="0.25">
      <c r="A10" s="8" t="s">
        <v>33</v>
      </c>
      <c r="B10" s="13" t="s">
        <v>41</v>
      </c>
      <c r="C10" s="18" t="s">
        <v>40</v>
      </c>
      <c r="D10" s="18">
        <v>37821</v>
      </c>
      <c r="E10" s="18">
        <v>16233</v>
      </c>
      <c r="F10" s="18">
        <v>16140</v>
      </c>
      <c r="G10" s="18">
        <v>23802</v>
      </c>
      <c r="H10" s="18">
        <v>16707</v>
      </c>
      <c r="I10" s="18">
        <v>8565</v>
      </c>
      <c r="J10" s="18">
        <v>11009</v>
      </c>
      <c r="K10" s="18">
        <v>10865</v>
      </c>
      <c r="L10" s="18">
        <v>13336</v>
      </c>
      <c r="M10" s="18">
        <v>11684</v>
      </c>
      <c r="N10" s="18">
        <v>7132</v>
      </c>
      <c r="O10" s="18">
        <v>6998</v>
      </c>
      <c r="P10" s="18">
        <v>8212</v>
      </c>
      <c r="Q10" s="18">
        <v>3219</v>
      </c>
      <c r="R10" s="18">
        <v>20342.84</v>
      </c>
      <c r="S10" s="18">
        <v>28792.7</v>
      </c>
      <c r="T10" s="18">
        <v>8868.2000000000007</v>
      </c>
      <c r="U10" s="18">
        <v>13329.9</v>
      </c>
      <c r="V10" s="18">
        <v>18685.79</v>
      </c>
      <c r="W10" s="18">
        <v>6134</v>
      </c>
      <c r="X10" s="18">
        <v>11416</v>
      </c>
      <c r="Y10" s="18">
        <v>5956</v>
      </c>
      <c r="Z10" s="18">
        <v>41154</v>
      </c>
    </row>
    <row r="11" spans="1:26" ht="45.75" customHeight="1" x14ac:dyDescent="0.25">
      <c r="A11" s="7" t="s">
        <v>34</v>
      </c>
      <c r="B11" s="12" t="s">
        <v>35</v>
      </c>
      <c r="C11" s="17" t="s">
        <v>40</v>
      </c>
      <c r="D11" s="7">
        <f t="shared" ref="D11:N11" si="0">D10</f>
        <v>37821</v>
      </c>
      <c r="E11" s="7">
        <f t="shared" si="0"/>
        <v>16233</v>
      </c>
      <c r="F11" s="17">
        <f t="shared" si="0"/>
        <v>16140</v>
      </c>
      <c r="G11" s="17">
        <f t="shared" si="0"/>
        <v>23802</v>
      </c>
      <c r="H11" s="17">
        <f t="shared" si="0"/>
        <v>16707</v>
      </c>
      <c r="I11" s="17">
        <v>8809</v>
      </c>
      <c r="J11" s="17">
        <f t="shared" si="0"/>
        <v>11009</v>
      </c>
      <c r="K11" s="17">
        <f t="shared" si="0"/>
        <v>10865</v>
      </c>
      <c r="L11" s="17">
        <f t="shared" si="0"/>
        <v>13336</v>
      </c>
      <c r="M11" s="17">
        <f t="shared" si="0"/>
        <v>11684</v>
      </c>
      <c r="N11" s="17">
        <f t="shared" si="0"/>
        <v>7132</v>
      </c>
      <c r="O11" s="17">
        <v>6998</v>
      </c>
      <c r="P11" s="17">
        <v>8212</v>
      </c>
      <c r="Q11" s="17">
        <v>3219</v>
      </c>
      <c r="R11" s="17">
        <f t="shared" ref="R11:Z11" si="1">R10</f>
        <v>20342.84</v>
      </c>
      <c r="S11" s="17">
        <f t="shared" si="1"/>
        <v>28792.7</v>
      </c>
      <c r="T11" s="17">
        <f t="shared" si="1"/>
        <v>8868.2000000000007</v>
      </c>
      <c r="U11" s="17">
        <f t="shared" si="1"/>
        <v>13329.9</v>
      </c>
      <c r="V11" s="17">
        <f t="shared" si="1"/>
        <v>18685.79</v>
      </c>
      <c r="W11" s="17">
        <f t="shared" si="1"/>
        <v>6134</v>
      </c>
      <c r="X11" s="17">
        <f t="shared" si="1"/>
        <v>11416</v>
      </c>
      <c r="Y11" s="17">
        <f t="shared" si="1"/>
        <v>5956</v>
      </c>
      <c r="Z11" s="17">
        <f t="shared" si="1"/>
        <v>41154</v>
      </c>
    </row>
  </sheetData>
  <mergeCells count="1">
    <mergeCell ref="D1:Z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K1"/>
    </sheetView>
  </sheetViews>
  <sheetFormatPr defaultRowHeight="15" x14ac:dyDescent="0.25"/>
  <cols>
    <col min="1" max="1" width="16" bestFit="1" customWidth="1"/>
  </cols>
  <sheetData>
    <row r="1" spans="1:11" x14ac:dyDescent="0.25">
      <c r="A1" t="s">
        <v>45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  <c r="I1" t="s">
        <v>66</v>
      </c>
      <c r="J1" t="s">
        <v>67</v>
      </c>
      <c r="K1" t="s">
        <v>71</v>
      </c>
    </row>
    <row r="2" spans="1:11" x14ac:dyDescent="0.25">
      <c r="A2" t="s">
        <v>46</v>
      </c>
      <c r="B2">
        <v>142.85</v>
      </c>
      <c r="C2">
        <v>162.155</v>
      </c>
      <c r="D2">
        <v>106.375</v>
      </c>
      <c r="E2">
        <v>95.141999999999996</v>
      </c>
      <c r="F2">
        <v>47.57</v>
      </c>
      <c r="G2">
        <v>44.368000000000002</v>
      </c>
      <c r="H2">
        <v>38.661000000000001</v>
      </c>
      <c r="I2">
        <v>22.023</v>
      </c>
      <c r="J2">
        <v>50.195999999999998</v>
      </c>
      <c r="K2">
        <f>SUM(B2:J2)</f>
        <v>709.34000000000015</v>
      </c>
    </row>
    <row r="3" spans="1:11" x14ac:dyDescent="0.25">
      <c r="A3" t="s">
        <v>47</v>
      </c>
      <c r="B3">
        <v>102.214</v>
      </c>
      <c r="C3">
        <v>102.214</v>
      </c>
      <c r="D3">
        <v>102.214</v>
      </c>
      <c r="E3">
        <v>102.214</v>
      </c>
      <c r="F3">
        <v>102.214</v>
      </c>
      <c r="G3">
        <v>102.214</v>
      </c>
      <c r="H3">
        <v>102.214</v>
      </c>
      <c r="I3">
        <v>102.214</v>
      </c>
      <c r="J3">
        <v>101.941</v>
      </c>
      <c r="K3">
        <f t="shared" ref="K3:K17" si="0">SUM(B3:J3)</f>
        <v>919.65300000000002</v>
      </c>
    </row>
    <row r="4" spans="1:11" x14ac:dyDescent="0.25">
      <c r="A4" t="s">
        <v>48</v>
      </c>
      <c r="B4">
        <v>189.92</v>
      </c>
      <c r="C4">
        <v>179.37</v>
      </c>
      <c r="D4">
        <v>127.64</v>
      </c>
      <c r="E4">
        <v>105.4</v>
      </c>
      <c r="F4">
        <v>39.729999999999997</v>
      </c>
      <c r="G4">
        <v>21.27</v>
      </c>
      <c r="H4">
        <v>30.98</v>
      </c>
      <c r="I4">
        <v>30.43</v>
      </c>
      <c r="J4">
        <v>40.130000000000003</v>
      </c>
      <c r="K4">
        <f t="shared" si="0"/>
        <v>764.86999999999989</v>
      </c>
    </row>
    <row r="5" spans="1:11" x14ac:dyDescent="0.25">
      <c r="A5" t="s">
        <v>49</v>
      </c>
      <c r="B5">
        <f>295.737+2.244</f>
        <v>297.98100000000005</v>
      </c>
      <c r="C5">
        <f>292.56+1.657</f>
        <v>294.21699999999998</v>
      </c>
      <c r="D5">
        <f>185.546+1.623</f>
        <v>187.16899999999998</v>
      </c>
      <c r="E5">
        <f>176.038+1.509</f>
        <v>177.547</v>
      </c>
      <c r="F5">
        <f>77.157+1.486</f>
        <v>78.643000000000001</v>
      </c>
      <c r="G5">
        <f>42.391+0.695</f>
        <v>43.085999999999999</v>
      </c>
      <c r="H5">
        <f>50.59+1.295</f>
        <v>51.885000000000005</v>
      </c>
      <c r="I5">
        <f>53.06+1.263</f>
        <v>54.323</v>
      </c>
      <c r="J5">
        <f>63.25+1.256</f>
        <v>64.506</v>
      </c>
      <c r="K5">
        <f t="shared" si="0"/>
        <v>1249.3570000000002</v>
      </c>
    </row>
    <row r="6" spans="1:11" x14ac:dyDescent="0.25">
      <c r="A6" t="s">
        <v>50</v>
      </c>
      <c r="B6">
        <f>429.635+26.194+0.435+46.298+2.483</f>
        <v>505.04500000000002</v>
      </c>
      <c r="C6">
        <f>435.494+25.336+0.436+47.586+2.489</f>
        <v>511.34100000000001</v>
      </c>
      <c r="D6">
        <f>278.216+5.418+0.397+24.87+2.266</f>
        <v>311.16700000000003</v>
      </c>
      <c r="E6">
        <f>245.565+0.504+0.441+13.093+2.521</f>
        <v>262.12400000000002</v>
      </c>
      <c r="F6">
        <f>111.934+0.402+2.296</f>
        <v>114.63200000000001</v>
      </c>
      <c r="G6">
        <f>107.91+0.387+2.214</f>
        <v>110.511</v>
      </c>
      <c r="H6">
        <f>45.54+0.163+0.934</f>
        <v>46.636999999999993</v>
      </c>
      <c r="I6">
        <f>88.297+0.317+1.811</f>
        <v>90.424999999999983</v>
      </c>
      <c r="J6">
        <f>118.534+0.426+2.431</f>
        <v>121.39100000000001</v>
      </c>
      <c r="K6">
        <f t="shared" si="0"/>
        <v>2073.2729999999997</v>
      </c>
    </row>
    <row r="7" spans="1:11" x14ac:dyDescent="0.25">
      <c r="A7" t="s">
        <v>51</v>
      </c>
      <c r="B7">
        <v>129.98400000000001</v>
      </c>
      <c r="C7">
        <v>129.98400000000001</v>
      </c>
      <c r="D7">
        <v>129.98400000000001</v>
      </c>
      <c r="E7">
        <v>129.98400000000001</v>
      </c>
      <c r="F7">
        <v>129.98400000000001</v>
      </c>
      <c r="G7">
        <v>129.98400000000001</v>
      </c>
      <c r="H7">
        <v>129.98400000000001</v>
      </c>
      <c r="I7">
        <v>129.98400000000001</v>
      </c>
      <c r="J7">
        <v>129.98400000000001</v>
      </c>
      <c r="K7">
        <f t="shared" si="0"/>
        <v>1169.856</v>
      </c>
    </row>
    <row r="8" spans="1:11" x14ac:dyDescent="0.25">
      <c r="A8" t="s">
        <v>52</v>
      </c>
      <c r="B8">
        <v>177.68</v>
      </c>
      <c r="C8">
        <v>177.68</v>
      </c>
      <c r="D8">
        <v>177.68</v>
      </c>
      <c r="E8">
        <v>177.68</v>
      </c>
      <c r="F8">
        <v>177.68</v>
      </c>
      <c r="G8">
        <v>177.68</v>
      </c>
      <c r="H8">
        <v>177.68</v>
      </c>
      <c r="I8">
        <v>177.68</v>
      </c>
      <c r="J8">
        <v>177.68</v>
      </c>
      <c r="K8">
        <f t="shared" si="0"/>
        <v>1599.1200000000003</v>
      </c>
    </row>
    <row r="9" spans="1:11" x14ac:dyDescent="0.25">
      <c r="A9" t="s">
        <v>53</v>
      </c>
      <c r="B9">
        <v>60.454999999999998</v>
      </c>
      <c r="C9">
        <v>60.454999999999998</v>
      </c>
      <c r="D9">
        <v>60.454999999999998</v>
      </c>
      <c r="E9">
        <v>60.454999999999998</v>
      </c>
      <c r="F9">
        <v>60.454999999999998</v>
      </c>
      <c r="G9">
        <v>60.454999999999998</v>
      </c>
      <c r="H9">
        <v>60.454999999999998</v>
      </c>
      <c r="I9">
        <v>60.454999999999998</v>
      </c>
      <c r="J9">
        <v>60.454999999999998</v>
      </c>
      <c r="K9">
        <f t="shared" si="0"/>
        <v>544.09499999999991</v>
      </c>
    </row>
    <row r="10" spans="1:11" x14ac:dyDescent="0.25">
      <c r="A10" t="s">
        <v>69</v>
      </c>
      <c r="B10">
        <v>80.225999999999999</v>
      </c>
      <c r="C10">
        <v>80.225999999999999</v>
      </c>
      <c r="D10">
        <v>80.225999999999999</v>
      </c>
      <c r="E10">
        <v>80.225999999999999</v>
      </c>
      <c r="F10">
        <v>80.225999999999999</v>
      </c>
      <c r="G10">
        <v>80.225999999999999</v>
      </c>
      <c r="H10">
        <v>80.225999999999999</v>
      </c>
      <c r="I10">
        <v>80.225999999999999</v>
      </c>
      <c r="J10">
        <v>80.225999999999999</v>
      </c>
      <c r="K10">
        <f t="shared" si="0"/>
        <v>722.03399999999999</v>
      </c>
    </row>
    <row r="11" spans="1:11" x14ac:dyDescent="0.25">
      <c r="A11" t="s">
        <v>68</v>
      </c>
      <c r="B11">
        <v>105.577</v>
      </c>
      <c r="C11">
        <v>125.76</v>
      </c>
      <c r="D11">
        <v>83.82</v>
      </c>
      <c r="E11">
        <v>95.27</v>
      </c>
      <c r="F11">
        <v>20.100000000000001</v>
      </c>
      <c r="G11">
        <v>15.21</v>
      </c>
      <c r="H11">
        <v>12.53</v>
      </c>
      <c r="I11">
        <v>19.41</v>
      </c>
      <c r="J11">
        <v>21.39</v>
      </c>
      <c r="K11">
        <f t="shared" si="0"/>
        <v>499.06699999999995</v>
      </c>
    </row>
    <row r="12" spans="1:11" x14ac:dyDescent="0.25">
      <c r="A12" t="s">
        <v>54</v>
      </c>
      <c r="B12">
        <f>100.08+31.404</f>
        <v>131.48400000000001</v>
      </c>
      <c r="C12">
        <f>115.08+43.405</f>
        <v>158.48500000000001</v>
      </c>
      <c r="D12">
        <f>75.96+25.86</f>
        <v>101.82</v>
      </c>
      <c r="E12">
        <f>70.94+27.534</f>
        <v>98.47399999999999</v>
      </c>
      <c r="F12">
        <v>27.466999999999999</v>
      </c>
      <c r="G12">
        <v>20.806000000000001</v>
      </c>
      <c r="H12">
        <v>17.548999999999999</v>
      </c>
      <c r="I12">
        <v>25.337</v>
      </c>
      <c r="J12">
        <v>28.433</v>
      </c>
      <c r="K12">
        <f t="shared" si="0"/>
        <v>609.85500000000002</v>
      </c>
    </row>
    <row r="13" spans="1:11" x14ac:dyDescent="0.25">
      <c r="A13" t="s">
        <v>55</v>
      </c>
      <c r="B13">
        <f>81.44+34.646</f>
        <v>116.086</v>
      </c>
      <c r="C13">
        <f>108.18+47.885</f>
        <v>156.065</v>
      </c>
      <c r="D13">
        <f>65.4+28.53</f>
        <v>93.93</v>
      </c>
      <c r="E13">
        <f>72.29+30.376</f>
        <v>102.66600000000001</v>
      </c>
      <c r="F13">
        <v>30.303000000000001</v>
      </c>
      <c r="G13">
        <v>22.954000000000001</v>
      </c>
      <c r="H13">
        <v>19.361000000000001</v>
      </c>
      <c r="I13">
        <v>27.952999999999999</v>
      </c>
      <c r="J13">
        <v>31.367000000000001</v>
      </c>
      <c r="K13">
        <f t="shared" si="0"/>
        <v>600.68499999999995</v>
      </c>
    </row>
    <row r="14" spans="1:11" x14ac:dyDescent="0.25">
      <c r="A14" t="s">
        <v>56</v>
      </c>
      <c r="B14">
        <v>134.696</v>
      </c>
      <c r="C14">
        <v>157.53</v>
      </c>
      <c r="D14">
        <v>116.91</v>
      </c>
      <c r="E14">
        <v>102.73</v>
      </c>
      <c r="F14">
        <v>29.51</v>
      </c>
      <c r="G14">
        <v>24.72</v>
      </c>
      <c r="H14">
        <v>17.89</v>
      </c>
      <c r="I14">
        <v>29.45</v>
      </c>
      <c r="J14">
        <v>31.9</v>
      </c>
      <c r="K14">
        <f t="shared" si="0"/>
        <v>645.33600000000001</v>
      </c>
    </row>
    <row r="15" spans="1:11" x14ac:dyDescent="0.25">
      <c r="A15" t="s">
        <v>70</v>
      </c>
      <c r="B15">
        <v>128.41999999999999</v>
      </c>
      <c r="C15">
        <v>164.16</v>
      </c>
      <c r="D15">
        <v>99.867999999999995</v>
      </c>
      <c r="E15">
        <v>94.98</v>
      </c>
      <c r="F15">
        <v>28.3</v>
      </c>
      <c r="G15">
        <v>22.97</v>
      </c>
      <c r="H15">
        <v>17.05</v>
      </c>
      <c r="I15">
        <v>25.83</v>
      </c>
      <c r="J15">
        <v>32.01</v>
      </c>
      <c r="K15">
        <f t="shared" si="0"/>
        <v>613.58799999999997</v>
      </c>
    </row>
    <row r="16" spans="1:11" x14ac:dyDescent="0.25">
      <c r="A16" t="s">
        <v>57</v>
      </c>
      <c r="B16">
        <v>62.698999999999998</v>
      </c>
      <c r="C16">
        <v>60.01</v>
      </c>
      <c r="D16">
        <v>51.27</v>
      </c>
      <c r="E16">
        <v>46.67</v>
      </c>
      <c r="F16">
        <v>21.31</v>
      </c>
      <c r="G16">
        <v>22.03</v>
      </c>
      <c r="H16">
        <v>19.260000000000002</v>
      </c>
      <c r="I16">
        <v>11.958</v>
      </c>
      <c r="J16">
        <v>22.134</v>
      </c>
      <c r="K16">
        <f t="shared" si="0"/>
        <v>317.34100000000007</v>
      </c>
    </row>
    <row r="17" spans="1:11" x14ac:dyDescent="0.25">
      <c r="A17" t="s">
        <v>58</v>
      </c>
      <c r="B17">
        <v>46.835999999999999</v>
      </c>
      <c r="C17">
        <v>46.835999999999999</v>
      </c>
      <c r="D17">
        <v>46.835999999999999</v>
      </c>
      <c r="E17">
        <v>46.835999999999999</v>
      </c>
      <c r="F17">
        <v>46.835999999999999</v>
      </c>
      <c r="G17">
        <v>46.835999999999999</v>
      </c>
      <c r="H17">
        <v>46.835999999999999</v>
      </c>
      <c r="I17">
        <v>46.835999999999999</v>
      </c>
      <c r="J17">
        <v>46.835999999999999</v>
      </c>
      <c r="K17">
        <f t="shared" si="0"/>
        <v>421.52400000000006</v>
      </c>
    </row>
    <row r="18" spans="1:11" x14ac:dyDescent="0.25">
      <c r="B18">
        <f t="shared" ref="B18:K18" si="1">SUM(B2:B17)</f>
        <v>2412.1529999999998</v>
      </c>
      <c r="C18">
        <f t="shared" si="1"/>
        <v>2566.4879999999998</v>
      </c>
      <c r="D18">
        <f t="shared" si="1"/>
        <v>1877.3639999999998</v>
      </c>
      <c r="E18">
        <f t="shared" si="1"/>
        <v>1778.3979999999999</v>
      </c>
      <c r="F18">
        <f t="shared" si="1"/>
        <v>1034.9599999999998</v>
      </c>
      <c r="G18">
        <f t="shared" si="1"/>
        <v>945.32000000000016</v>
      </c>
      <c r="H18">
        <f t="shared" si="1"/>
        <v>869.19799999999987</v>
      </c>
      <c r="I18">
        <f t="shared" si="1"/>
        <v>934.53399999999999</v>
      </c>
      <c r="J18">
        <f t="shared" si="1"/>
        <v>1040.579</v>
      </c>
      <c r="K18">
        <f t="shared" si="1"/>
        <v>13458.993999999997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M22" sqref="M22"/>
    </sheetView>
  </sheetViews>
  <sheetFormatPr defaultRowHeight="15" x14ac:dyDescent="0.25"/>
  <cols>
    <col min="1" max="1" width="18.140625" bestFit="1" customWidth="1"/>
  </cols>
  <sheetData>
    <row r="1" spans="1:11" x14ac:dyDescent="0.25">
      <c r="A1" t="s">
        <v>72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  <c r="I1" t="s">
        <v>66</v>
      </c>
      <c r="J1" t="s">
        <v>67</v>
      </c>
      <c r="K1" t="s">
        <v>71</v>
      </c>
    </row>
    <row r="2" spans="1:11" x14ac:dyDescent="0.25">
      <c r="A2" t="s">
        <v>73</v>
      </c>
      <c r="B2">
        <f>2365+1064</f>
        <v>3429</v>
      </c>
      <c r="C2">
        <f>2608+1183</f>
        <v>3791</v>
      </c>
      <c r="D2">
        <f>2262+1123</f>
        <v>3385</v>
      </c>
      <c r="E2">
        <f>2151+1218</f>
        <v>3369</v>
      </c>
      <c r="F2">
        <f>2010+1074</f>
        <v>3084</v>
      </c>
      <c r="G2">
        <f>2021+851</f>
        <v>2872</v>
      </c>
      <c r="H2">
        <f>2006+434</f>
        <v>2440</v>
      </c>
      <c r="I2">
        <f>2471+592</f>
        <v>3063</v>
      </c>
      <c r="J2">
        <f>2401+646</f>
        <v>3047</v>
      </c>
      <c r="K2">
        <f>SUM(B2:J2)</f>
        <v>28480</v>
      </c>
    </row>
    <row r="3" spans="1:11" x14ac:dyDescent="0.25">
      <c r="A3" t="s">
        <v>74</v>
      </c>
      <c r="B3">
        <f>785+790</f>
        <v>1575</v>
      </c>
      <c r="C3">
        <f>907+917</f>
        <v>1824</v>
      </c>
      <c r="D3">
        <f>794+730</f>
        <v>1524</v>
      </c>
      <c r="E3">
        <f>733+733</f>
        <v>1466</v>
      </c>
      <c r="F3">
        <f>683+751</f>
        <v>1434</v>
      </c>
      <c r="G3">
        <f>651+721</f>
        <v>1372</v>
      </c>
      <c r="H3">
        <f>613+646</f>
        <v>1259</v>
      </c>
      <c r="I3">
        <f>594+503</f>
        <v>1097</v>
      </c>
      <c r="J3">
        <f>588+529</f>
        <v>1117</v>
      </c>
      <c r="K3">
        <f t="shared" ref="K3:K23" si="0">SUM(B3:J3)</f>
        <v>12668</v>
      </c>
    </row>
    <row r="4" spans="1:11" x14ac:dyDescent="0.25">
      <c r="A4" t="s">
        <v>75</v>
      </c>
      <c r="B4">
        <v>1416</v>
      </c>
      <c r="C4">
        <v>1481</v>
      </c>
      <c r="D4">
        <v>1330</v>
      </c>
      <c r="E4">
        <v>1470</v>
      </c>
      <c r="F4">
        <v>1456</v>
      </c>
      <c r="G4">
        <v>1075</v>
      </c>
      <c r="H4">
        <v>1253</v>
      </c>
      <c r="I4">
        <v>1335</v>
      </c>
      <c r="J4">
        <v>1182</v>
      </c>
      <c r="K4">
        <f t="shared" si="0"/>
        <v>11998</v>
      </c>
    </row>
    <row r="5" spans="1:11" x14ac:dyDescent="0.25">
      <c r="A5" t="s">
        <v>76</v>
      </c>
      <c r="B5">
        <v>2117</v>
      </c>
      <c r="C5">
        <v>2258</v>
      </c>
      <c r="D5">
        <v>2079</v>
      </c>
      <c r="E5">
        <v>2135</v>
      </c>
      <c r="F5">
        <v>2067</v>
      </c>
      <c r="G5">
        <v>1513</v>
      </c>
      <c r="H5">
        <v>1813</v>
      </c>
      <c r="I5">
        <v>1912</v>
      </c>
      <c r="J5">
        <v>1847</v>
      </c>
      <c r="K5">
        <f t="shared" si="0"/>
        <v>17741</v>
      </c>
    </row>
    <row r="6" spans="1:11" x14ac:dyDescent="0.25">
      <c r="A6" t="s">
        <v>77</v>
      </c>
      <c r="B6">
        <v>640</v>
      </c>
      <c r="C6">
        <v>963</v>
      </c>
      <c r="D6">
        <v>879</v>
      </c>
      <c r="E6">
        <v>1069</v>
      </c>
      <c r="F6">
        <v>1204</v>
      </c>
      <c r="G6">
        <v>1074</v>
      </c>
      <c r="H6">
        <v>1288</v>
      </c>
      <c r="I6">
        <v>1640</v>
      </c>
      <c r="J6">
        <v>1644</v>
      </c>
      <c r="K6">
        <f t="shared" si="0"/>
        <v>10401</v>
      </c>
    </row>
    <row r="7" spans="1:11" x14ac:dyDescent="0.25">
      <c r="A7" t="s">
        <v>78</v>
      </c>
      <c r="B7">
        <v>4331</v>
      </c>
      <c r="C7">
        <v>4659</v>
      </c>
      <c r="D7">
        <v>2993</v>
      </c>
      <c r="E7">
        <v>2765</v>
      </c>
      <c r="F7">
        <v>3303</v>
      </c>
      <c r="G7">
        <v>3963</v>
      </c>
      <c r="H7">
        <v>3010</v>
      </c>
      <c r="I7">
        <v>3956</v>
      </c>
      <c r="J7">
        <v>3679</v>
      </c>
      <c r="K7">
        <f t="shared" si="0"/>
        <v>32659</v>
      </c>
    </row>
    <row r="8" spans="1:11" x14ac:dyDescent="0.25">
      <c r="A8" t="s">
        <v>79</v>
      </c>
      <c r="B8">
        <v>823</v>
      </c>
      <c r="C8">
        <v>806</v>
      </c>
      <c r="D8">
        <v>663</v>
      </c>
      <c r="E8">
        <v>596</v>
      </c>
      <c r="F8">
        <v>518</v>
      </c>
      <c r="G8">
        <v>536</v>
      </c>
      <c r="H8">
        <v>433</v>
      </c>
      <c r="I8">
        <v>545</v>
      </c>
      <c r="J8">
        <v>306</v>
      </c>
      <c r="K8">
        <f t="shared" si="0"/>
        <v>5226</v>
      </c>
    </row>
    <row r="9" spans="1:11" x14ac:dyDescent="0.25">
      <c r="A9" t="s">
        <v>82</v>
      </c>
      <c r="B9">
        <f>1140+560</f>
        <v>1700</v>
      </c>
      <c r="C9">
        <f>1126+560</f>
        <v>1686</v>
      </c>
      <c r="D9">
        <f>992+560</f>
        <v>1552</v>
      </c>
      <c r="E9">
        <f>1052+560</f>
        <v>1612</v>
      </c>
      <c r="F9">
        <f>1039+515.79</f>
        <v>1554.79</v>
      </c>
      <c r="G9">
        <f>1195+350</f>
        <v>1545</v>
      </c>
      <c r="H9">
        <f>963+560</f>
        <v>1523</v>
      </c>
      <c r="I9">
        <f>1149+560</f>
        <v>1709</v>
      </c>
      <c r="J9">
        <f>841+560</f>
        <v>1401</v>
      </c>
      <c r="K9">
        <f t="shared" si="0"/>
        <v>14282.79</v>
      </c>
    </row>
    <row r="10" spans="1:11" x14ac:dyDescent="0.25">
      <c r="A10" t="s">
        <v>83</v>
      </c>
      <c r="B10">
        <f>1146+724</f>
        <v>1870</v>
      </c>
      <c r="C10">
        <f>1018+724</f>
        <v>1742</v>
      </c>
      <c r="D10">
        <f>782+724</f>
        <v>1506</v>
      </c>
      <c r="E10">
        <f>833+724</f>
        <v>1557</v>
      </c>
      <c r="F10">
        <f>948+666.84</f>
        <v>1614.8400000000001</v>
      </c>
      <c r="G10">
        <f>1247+452</f>
        <v>1699</v>
      </c>
      <c r="H10">
        <f>981+724</f>
        <v>1705</v>
      </c>
      <c r="I10">
        <f>1328+724</f>
        <v>2052</v>
      </c>
      <c r="J10">
        <f>935+724</f>
        <v>1659</v>
      </c>
      <c r="K10">
        <f t="shared" si="0"/>
        <v>15404.84</v>
      </c>
    </row>
    <row r="11" spans="1:11" x14ac:dyDescent="0.25">
      <c r="A11" t="s">
        <v>84</v>
      </c>
      <c r="B11">
        <f>1243+967</f>
        <v>2210</v>
      </c>
      <c r="C11">
        <f>1217+967</f>
        <v>2184</v>
      </c>
      <c r="D11">
        <f>1040+967</f>
        <v>2007</v>
      </c>
      <c r="E11">
        <f>1188+967</f>
        <v>2155</v>
      </c>
      <c r="F11">
        <f>1215+890.7</f>
        <v>2105.6999999999998</v>
      </c>
      <c r="G11">
        <f>1609+604</f>
        <v>2213</v>
      </c>
      <c r="H11">
        <f>1505+967</f>
        <v>2472</v>
      </c>
      <c r="I11">
        <f>2108+967</f>
        <v>3075</v>
      </c>
      <c r="J11">
        <f>1603+967</f>
        <v>2570</v>
      </c>
      <c r="K11">
        <f t="shared" si="0"/>
        <v>20991.7</v>
      </c>
    </row>
    <row r="12" spans="1:11" x14ac:dyDescent="0.25">
      <c r="A12" t="s">
        <v>85</v>
      </c>
      <c r="B12">
        <f>496+327</f>
        <v>823</v>
      </c>
      <c r="C12">
        <f>466+327</f>
        <v>793</v>
      </c>
      <c r="D12">
        <f>417+327</f>
        <v>744</v>
      </c>
      <c r="E12">
        <f>403+327</f>
        <v>730</v>
      </c>
      <c r="F12">
        <f>392+301.2</f>
        <v>693.2</v>
      </c>
      <c r="G12">
        <f>465+204</f>
        <v>669</v>
      </c>
      <c r="H12">
        <f>379+327</f>
        <v>706</v>
      </c>
      <c r="I12">
        <f>497+327</f>
        <v>824</v>
      </c>
      <c r="J12">
        <f>367+327</f>
        <v>694</v>
      </c>
      <c r="K12">
        <f t="shared" si="0"/>
        <v>6676.2</v>
      </c>
    </row>
    <row r="13" spans="1:11" x14ac:dyDescent="0.25">
      <c r="A13" t="s">
        <v>86</v>
      </c>
      <c r="B13">
        <f>585+445</f>
        <v>1030</v>
      </c>
      <c r="C13">
        <f>609+445</f>
        <v>1054</v>
      </c>
      <c r="D13">
        <f>550+445</f>
        <v>995</v>
      </c>
      <c r="E13">
        <f>674+445</f>
        <v>1119</v>
      </c>
      <c r="F13">
        <f>647+409.9</f>
        <v>1056.9000000000001</v>
      </c>
      <c r="G13">
        <f>832+279</f>
        <v>1111</v>
      </c>
      <c r="H13">
        <f>762+445</f>
        <v>1207</v>
      </c>
      <c r="I13">
        <f>865+445</f>
        <v>1310</v>
      </c>
      <c r="J13">
        <f>661+445</f>
        <v>1106</v>
      </c>
      <c r="K13">
        <f t="shared" si="0"/>
        <v>9988.9</v>
      </c>
    </row>
    <row r="14" spans="1:11" x14ac:dyDescent="0.25">
      <c r="A14" t="s">
        <v>80</v>
      </c>
      <c r="B14">
        <v>481</v>
      </c>
      <c r="C14">
        <v>731</v>
      </c>
      <c r="D14">
        <v>634</v>
      </c>
      <c r="E14">
        <v>793</v>
      </c>
      <c r="F14">
        <v>862</v>
      </c>
      <c r="G14">
        <v>941</v>
      </c>
      <c r="H14">
        <v>940</v>
      </c>
      <c r="I14">
        <v>1155</v>
      </c>
      <c r="J14">
        <v>1034</v>
      </c>
      <c r="K14">
        <f t="shared" si="0"/>
        <v>7571</v>
      </c>
    </row>
    <row r="15" spans="1:11" x14ac:dyDescent="0.25">
      <c r="A15" t="s">
        <v>81</v>
      </c>
      <c r="B15">
        <v>268</v>
      </c>
      <c r="C15">
        <v>401</v>
      </c>
      <c r="D15">
        <v>384</v>
      </c>
      <c r="E15">
        <v>434</v>
      </c>
      <c r="F15">
        <v>491</v>
      </c>
      <c r="G15">
        <v>530</v>
      </c>
      <c r="H15">
        <v>490</v>
      </c>
      <c r="I15">
        <v>618</v>
      </c>
      <c r="J15">
        <v>546</v>
      </c>
      <c r="K15">
        <f t="shared" si="0"/>
        <v>4162</v>
      </c>
    </row>
    <row r="16" spans="1:11" x14ac:dyDescent="0.25">
      <c r="A16" t="s">
        <v>87</v>
      </c>
      <c r="B16">
        <v>728</v>
      </c>
      <c r="C16">
        <v>728</v>
      </c>
      <c r="D16">
        <v>480</v>
      </c>
      <c r="E16">
        <v>727</v>
      </c>
      <c r="F16">
        <v>660</v>
      </c>
      <c r="G16">
        <v>688</v>
      </c>
      <c r="H16">
        <v>344</v>
      </c>
      <c r="I16">
        <v>342</v>
      </c>
      <c r="J16">
        <v>485</v>
      </c>
      <c r="K16">
        <f t="shared" si="0"/>
        <v>5182</v>
      </c>
    </row>
    <row r="17" spans="1:11" x14ac:dyDescent="0.25">
      <c r="A17" t="s">
        <v>88</v>
      </c>
      <c r="B17">
        <f>234+203</f>
        <v>437</v>
      </c>
      <c r="C17">
        <f>1124+173</f>
        <v>1297</v>
      </c>
      <c r="D17">
        <f>494+212</f>
        <v>706</v>
      </c>
      <c r="E17">
        <f>506+226</f>
        <v>732</v>
      </c>
      <c r="F17">
        <f>462+268</f>
        <v>730</v>
      </c>
      <c r="G17">
        <f>390+198</f>
        <v>588</v>
      </c>
      <c r="H17">
        <f>488+188</f>
        <v>676</v>
      </c>
      <c r="I17">
        <f>539+219</f>
        <v>758</v>
      </c>
      <c r="J17">
        <f>545+285</f>
        <v>830</v>
      </c>
      <c r="K17">
        <f t="shared" si="0"/>
        <v>6754</v>
      </c>
    </row>
    <row r="18" spans="1:11" x14ac:dyDescent="0.25">
      <c r="A18" t="s">
        <v>89</v>
      </c>
      <c r="B18">
        <f>663+153</f>
        <v>816</v>
      </c>
      <c r="C18">
        <f>669+410</f>
        <v>1079</v>
      </c>
      <c r="D18">
        <f>629+417</f>
        <v>1046</v>
      </c>
      <c r="E18">
        <f>684+279</f>
        <v>963</v>
      </c>
      <c r="F18">
        <f>589+371</f>
        <v>960</v>
      </c>
      <c r="G18">
        <f>543+299</f>
        <v>842</v>
      </c>
      <c r="H18">
        <f>602+224</f>
        <v>826</v>
      </c>
      <c r="I18">
        <f>585+328</f>
        <v>913</v>
      </c>
      <c r="J18">
        <f>746+371</f>
        <v>1117</v>
      </c>
      <c r="K18">
        <f t="shared" si="0"/>
        <v>8562</v>
      </c>
    </row>
    <row r="19" spans="1:11" x14ac:dyDescent="0.25">
      <c r="A19" t="s">
        <v>90</v>
      </c>
      <c r="B19">
        <f>735+335</f>
        <v>1070</v>
      </c>
      <c r="C19">
        <f>741+343</f>
        <v>1084</v>
      </c>
      <c r="D19">
        <f>469+346</f>
        <v>815</v>
      </c>
      <c r="E19">
        <f>506+398</f>
        <v>904</v>
      </c>
      <c r="F19">
        <f>496+328</f>
        <v>824</v>
      </c>
      <c r="G19">
        <f>519+264</f>
        <v>783</v>
      </c>
      <c r="H19">
        <f>473+228</f>
        <v>701</v>
      </c>
      <c r="I19">
        <f>507+225</f>
        <v>732</v>
      </c>
      <c r="J19">
        <f>750+443</f>
        <v>1193</v>
      </c>
      <c r="K19">
        <f t="shared" si="0"/>
        <v>8106</v>
      </c>
    </row>
    <row r="20" spans="1:11" x14ac:dyDescent="0.25">
      <c r="A20" t="s">
        <v>91</v>
      </c>
      <c r="B20">
        <f>388+980</f>
        <v>1368</v>
      </c>
      <c r="C20">
        <f>506+906</f>
        <v>1412</v>
      </c>
      <c r="D20">
        <f>346+567</f>
        <v>913</v>
      </c>
      <c r="E20">
        <f>608+652</f>
        <v>1260</v>
      </c>
      <c r="F20">
        <f>534+620</f>
        <v>1154</v>
      </c>
      <c r="G20">
        <f>489+439</f>
        <v>928</v>
      </c>
      <c r="H20">
        <f>419+236</f>
        <v>655</v>
      </c>
      <c r="I20">
        <f>474+531</f>
        <v>1005</v>
      </c>
      <c r="J20">
        <f>572+562</f>
        <v>1134</v>
      </c>
      <c r="K20">
        <f t="shared" si="0"/>
        <v>9829</v>
      </c>
    </row>
    <row r="21" spans="1:11" x14ac:dyDescent="0.25">
      <c r="A21" t="s">
        <v>92</v>
      </c>
      <c r="B21">
        <f>553+584</f>
        <v>1137</v>
      </c>
      <c r="C21">
        <f>728+377</f>
        <v>1105</v>
      </c>
      <c r="D21">
        <f>400+348</f>
        <v>748</v>
      </c>
      <c r="E21">
        <f>549+388</f>
        <v>937</v>
      </c>
      <c r="F21">
        <f>479+857</f>
        <v>1336</v>
      </c>
      <c r="G21">
        <f>240+491</f>
        <v>731</v>
      </c>
      <c r="H21">
        <f>591+387</f>
        <v>978</v>
      </c>
      <c r="I21">
        <f>625+293</f>
        <v>918</v>
      </c>
      <c r="J21">
        <f>653+466</f>
        <v>1119</v>
      </c>
      <c r="K21">
        <f t="shared" si="0"/>
        <v>9009</v>
      </c>
    </row>
    <row r="22" spans="1:11" x14ac:dyDescent="0.25">
      <c r="A22" t="s">
        <v>93</v>
      </c>
      <c r="B22">
        <f>312+311</f>
        <v>623</v>
      </c>
      <c r="C22">
        <f>301+307</f>
        <v>608</v>
      </c>
      <c r="D22">
        <f>277+273</f>
        <v>550</v>
      </c>
      <c r="E22">
        <f>286+292</f>
        <v>578</v>
      </c>
      <c r="F22">
        <f>298+316</f>
        <v>614</v>
      </c>
      <c r="G22">
        <f>305+390</f>
        <v>695</v>
      </c>
      <c r="H22">
        <f>312+387</f>
        <v>699</v>
      </c>
      <c r="I22">
        <f>313+164</f>
        <v>477</v>
      </c>
      <c r="J22">
        <f>292+229</f>
        <v>521</v>
      </c>
      <c r="K22">
        <f t="shared" si="0"/>
        <v>5365</v>
      </c>
    </row>
    <row r="23" spans="1:11" x14ac:dyDescent="0.25">
      <c r="A23" t="s">
        <v>94</v>
      </c>
      <c r="B23">
        <f>528+76</f>
        <v>604</v>
      </c>
      <c r="C23">
        <f>515+76</f>
        <v>591</v>
      </c>
      <c r="D23">
        <f>472+378</f>
        <v>850</v>
      </c>
      <c r="E23">
        <f>496+139</f>
        <v>635</v>
      </c>
      <c r="F23">
        <f>468+139</f>
        <v>607</v>
      </c>
      <c r="G23">
        <f>601+139</f>
        <v>740</v>
      </c>
      <c r="H23">
        <f>211+139</f>
        <v>350</v>
      </c>
      <c r="I23">
        <f>737+73</f>
        <v>810</v>
      </c>
      <c r="J23">
        <f>665+139</f>
        <v>804</v>
      </c>
      <c r="K23">
        <f t="shared" si="0"/>
        <v>5991</v>
      </c>
    </row>
    <row r="24" spans="1:11" x14ac:dyDescent="0.25">
      <c r="B24">
        <f t="shared" ref="B24:J24" si="1">SUM(B2:B23)</f>
        <v>29496</v>
      </c>
      <c r="C24">
        <f t="shared" si="1"/>
        <v>32277</v>
      </c>
      <c r="D24">
        <f t="shared" si="1"/>
        <v>26783</v>
      </c>
      <c r="E24">
        <f t="shared" si="1"/>
        <v>28006</v>
      </c>
      <c r="F24">
        <f t="shared" si="1"/>
        <v>28329.430000000004</v>
      </c>
      <c r="G24">
        <f t="shared" si="1"/>
        <v>27108</v>
      </c>
      <c r="H24">
        <f t="shared" si="1"/>
        <v>25768</v>
      </c>
      <c r="I24">
        <f t="shared" si="1"/>
        <v>30246</v>
      </c>
      <c r="J24">
        <f t="shared" si="1"/>
        <v>29035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2014-12-17T15:06:35Z</cp:lastPrinted>
  <dcterms:created xsi:type="dcterms:W3CDTF">2014-12-05T09:19:17Z</dcterms:created>
  <dcterms:modified xsi:type="dcterms:W3CDTF">2015-04-17T10:29:14Z</dcterms:modified>
</cp:coreProperties>
</file>